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owthcapitalsrl-my.sharepoint.com/personal/njesiferrari_growthcapital_vc/Documents/Desktop/"/>
    </mc:Choice>
  </mc:AlternateContent>
  <xr:revisionPtr revIDLastSave="118" documentId="8_{1C14E1DC-93D8-4787-BA61-9D20A182B704}" xr6:coauthVersionLast="47" xr6:coauthVersionMax="47" xr10:uidLastSave="{78AC1E1A-B0A3-4831-AAD8-862CD819BE34}"/>
  <bookViews>
    <workbookView xWindow="-120" yWindow="-120" windowWidth="29040" windowHeight="15720" activeTab="1" xr2:uid="{311B5112-E567-4FBF-8E6B-BD1570B53965}"/>
  </bookViews>
  <sheets>
    <sheet name="ESOP_Nominale" sheetId="3" r:id="rId1"/>
    <sheet name="ESOP_Sovrapprezzo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3" l="1"/>
  <c r="F15" i="3"/>
  <c r="R19" i="3"/>
  <c r="J4" i="3"/>
  <c r="J3" i="3"/>
  <c r="E19" i="3"/>
  <c r="D19" i="3"/>
  <c r="D15" i="3"/>
  <c r="D13" i="3"/>
  <c r="D12" i="3"/>
  <c r="F15" i="4"/>
  <c r="F11" i="4"/>
  <c r="C11" i="4"/>
  <c r="C19" i="4" s="1"/>
  <c r="D12" i="4" s="1"/>
  <c r="G5" i="4"/>
  <c r="M6" i="4" s="1"/>
  <c r="F11" i="3"/>
  <c r="C11" i="3"/>
  <c r="C19" i="3" s="1"/>
  <c r="F19" i="4" l="1"/>
  <c r="F19" i="3"/>
  <c r="C21" i="3"/>
  <c r="E17" i="3" s="1"/>
  <c r="D15" i="4"/>
  <c r="D13" i="4"/>
  <c r="D11" i="4" s="1"/>
  <c r="D19" i="4" s="1"/>
  <c r="C21" i="4"/>
  <c r="E17" i="4" l="1"/>
  <c r="E12" i="4"/>
  <c r="J4" i="4"/>
  <c r="J3" i="4" s="1"/>
  <c r="E15" i="4"/>
  <c r="E13" i="4"/>
  <c r="E15" i="3"/>
  <c r="D11" i="3"/>
  <c r="E12" i="3"/>
  <c r="E13" i="3"/>
  <c r="G15" i="4" l="1"/>
  <c r="G13" i="4"/>
  <c r="G12" i="4"/>
  <c r="E11" i="4"/>
  <c r="E19" i="4" s="1"/>
  <c r="E21" i="4" s="1"/>
  <c r="G15" i="3"/>
  <c r="I15" i="3" s="1"/>
  <c r="G13" i="3"/>
  <c r="G12" i="3"/>
  <c r="E11" i="3"/>
  <c r="E21" i="3" s="1"/>
  <c r="I12" i="4" l="1"/>
  <c r="G11" i="4"/>
  <c r="G19" i="4" s="1"/>
  <c r="H12" i="4"/>
  <c r="I13" i="4"/>
  <c r="H13" i="4"/>
  <c r="I15" i="4"/>
  <c r="H15" i="4"/>
  <c r="H12" i="3"/>
  <c r="I12" i="3"/>
  <c r="G11" i="3"/>
  <c r="G19" i="3" s="1"/>
  <c r="H13" i="3"/>
  <c r="I13" i="3"/>
  <c r="M13" i="3" s="1"/>
  <c r="S13" i="3" s="1"/>
  <c r="H15" i="3"/>
  <c r="M15" i="3"/>
  <c r="S15" i="3" s="1"/>
  <c r="M12" i="4" l="1"/>
  <c r="I11" i="4"/>
  <c r="I19" i="4" s="1"/>
  <c r="I21" i="4" s="1"/>
  <c r="M15" i="4"/>
  <c r="M13" i="4"/>
  <c r="H11" i="4"/>
  <c r="H19" i="4" s="1"/>
  <c r="M12" i="3"/>
  <c r="S12" i="3" s="1"/>
  <c r="S11" i="3" s="1"/>
  <c r="I11" i="3"/>
  <c r="I19" i="3" s="1"/>
  <c r="H11" i="3"/>
  <c r="H19" i="3" s="1"/>
  <c r="K13" i="4" l="1"/>
  <c r="M4" i="4"/>
  <c r="L17" i="4" s="1"/>
  <c r="M17" i="4" s="1"/>
  <c r="I21" i="3"/>
  <c r="J15" i="3"/>
  <c r="M11" i="3"/>
  <c r="M19" i="3" s="1"/>
  <c r="N15" i="3" s="1"/>
  <c r="K15" i="4"/>
  <c r="S15" i="4"/>
  <c r="K12" i="4"/>
  <c r="K11" i="4" s="1"/>
  <c r="K19" i="4" s="1"/>
  <c r="K21" i="4" s="1"/>
  <c r="S12" i="4"/>
  <c r="M11" i="4"/>
  <c r="M19" i="4" s="1"/>
  <c r="N15" i="4" s="1"/>
  <c r="J13" i="4"/>
  <c r="S13" i="4"/>
  <c r="J15" i="4"/>
  <c r="K17" i="4"/>
  <c r="J12" i="4"/>
  <c r="N13" i="3" l="1"/>
  <c r="N12" i="3"/>
  <c r="Q17" i="4"/>
  <c r="Q19" i="4" s="1"/>
  <c r="N13" i="4"/>
  <c r="M4" i="3"/>
  <c r="K15" i="3"/>
  <c r="J11" i="4"/>
  <c r="J19" i="4" s="1"/>
  <c r="S17" i="4"/>
  <c r="S11" i="4"/>
  <c r="M21" i="4"/>
  <c r="N12" i="4"/>
  <c r="N11" i="4" s="1"/>
  <c r="N19" i="4" s="1"/>
  <c r="K17" i="3"/>
  <c r="K13" i="3"/>
  <c r="J13" i="3"/>
  <c r="J12" i="3"/>
  <c r="K12" i="3"/>
  <c r="N11" i="3" l="1"/>
  <c r="N19" i="3" s="1"/>
  <c r="S19" i="4"/>
  <c r="T12" i="4" s="1"/>
  <c r="P17" i="3"/>
  <c r="L17" i="3"/>
  <c r="M17" i="3" s="1"/>
  <c r="P19" i="3"/>
  <c r="J11" i="3"/>
  <c r="J19" i="3" s="1"/>
  <c r="M21" i="3"/>
  <c r="O15" i="4"/>
  <c r="O13" i="4"/>
  <c r="O12" i="4"/>
  <c r="O11" i="4" s="1"/>
  <c r="O19" i="4" s="1"/>
  <c r="O17" i="4"/>
  <c r="P17" i="4" s="1"/>
  <c r="R17" i="4" s="1"/>
  <c r="K11" i="3"/>
  <c r="K19" i="3" s="1"/>
  <c r="K21" i="3" s="1"/>
  <c r="T17" i="4" l="1"/>
  <c r="S17" i="3"/>
  <c r="S19" i="3" s="1"/>
  <c r="S21" i="3" s="1"/>
  <c r="Q17" i="3"/>
  <c r="Q19" i="3" s="1"/>
  <c r="O17" i="3"/>
  <c r="P19" i="4"/>
  <c r="R19" i="4"/>
  <c r="S21" i="4"/>
  <c r="T13" i="4"/>
  <c r="T11" i="4" s="1"/>
  <c r="T15" i="4"/>
  <c r="O21" i="4"/>
  <c r="T19" i="4" l="1"/>
  <c r="T15" i="3"/>
  <c r="T13" i="3"/>
  <c r="T12" i="3"/>
  <c r="T11" i="3" s="1"/>
  <c r="T17" i="3"/>
  <c r="U12" i="4"/>
  <c r="U13" i="4"/>
  <c r="U15" i="4"/>
  <c r="U17" i="4"/>
  <c r="O12" i="3"/>
  <c r="O13" i="3"/>
  <c r="O15" i="3"/>
  <c r="U11" i="4" l="1"/>
  <c r="U19" i="4" s="1"/>
  <c r="U21" i="4" s="1"/>
  <c r="T19" i="3"/>
  <c r="U13" i="3"/>
  <c r="U15" i="3"/>
  <c r="U12" i="3"/>
  <c r="U11" i="3" s="1"/>
  <c r="U17" i="3"/>
  <c r="O11" i="3"/>
  <c r="O19" i="3" s="1"/>
  <c r="O21" i="3" s="1"/>
  <c r="U19" i="3" l="1"/>
  <c r="U21" i="3" s="1"/>
</calcChain>
</file>

<file path=xl/sharedStrings.xml><?xml version="1.0" encoding="utf-8"?>
<sst xmlns="http://schemas.openxmlformats.org/spreadsheetml/2006/main" count="88" uniqueCount="33">
  <si>
    <t>Soci</t>
  </si>
  <si>
    <t>Founders</t>
  </si>
  <si>
    <t>Founder 1</t>
  </si>
  <si>
    <t>Founder 2</t>
  </si>
  <si>
    <t>TOTALE FULLY DILUTED</t>
  </si>
  <si>
    <t>TOTALE</t>
  </si>
  <si>
    <t>% f.d.</t>
  </si>
  <si>
    <t>CAPTABLE INIZIALE</t>
  </si>
  <si>
    <t>Investimento</t>
  </si>
  <si>
    <t>Nominale emesso</t>
  </si>
  <si>
    <t>Sovrapprezzo</t>
  </si>
  <si>
    <t>CAPTABLE POST SERIE A</t>
  </si>
  <si>
    <t>Size</t>
  </si>
  <si>
    <t>Nominale iniziale</t>
  </si>
  <si>
    <t>Noninale da emettere</t>
  </si>
  <si>
    <t>Nominale POST</t>
  </si>
  <si>
    <t>Nominale PRE</t>
  </si>
  <si>
    <t>ESOP</t>
  </si>
  <si>
    <t>New ESOP % f.d.</t>
  </si>
  <si>
    <t>Nominale da emettere</t>
  </si>
  <si>
    <t>% n.f.d.</t>
  </si>
  <si>
    <t>CAPTABLE POST DELIBERA ESOP</t>
  </si>
  <si>
    <t>Investitori</t>
  </si>
  <si>
    <t>ROUND</t>
  </si>
  <si>
    <t>HP. ROUND</t>
  </si>
  <si>
    <t>DELIBERA &amp; ASSEGNAZIONE ESOP</t>
  </si>
  <si>
    <t>SOTTOSCRIZIONE ESOP</t>
  </si>
  <si>
    <t>Nominale versato</t>
  </si>
  <si>
    <t>CAPTABLE POST SOTTOSCRIZIONE ESOP</t>
  </si>
  <si>
    <t>Pre-money Valuation</t>
  </si>
  <si>
    <t>Post-money Valuation</t>
  </si>
  <si>
    <t>Discount Post-Money Valuation f.d.</t>
  </si>
  <si>
    <t>Post-Money Valuation updated f.d.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</si>
</sst>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"/>
    <numFmt numFmtId="165" formatCode="0.0%"/>
    <numFmt numFmtId="166" formatCode="&quot;€&quot;\ #,##0.0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Display"/>
      <family val="2"/>
      <scheme val="major"/>
    </font>
    <font>
      <i/>
      <sz val="11"/>
      <color theme="1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sz val="11"/>
      <color theme="0"/>
      <name val="Aptos Display"/>
      <family val="2"/>
      <scheme val="major"/>
    </font>
    <font>
      <b/>
      <sz val="11"/>
      <color theme="0"/>
      <name val="Aptos Display"/>
      <family val="2"/>
      <scheme val="major"/>
    </font>
    <font>
      <sz val="11"/>
      <color rgb="FF0000FF"/>
      <name val="Aptos Display"/>
      <family val="2"/>
      <scheme val="major"/>
    </font>
    <font>
      <b/>
      <sz val="11"/>
      <color rgb="FF0000FF"/>
      <name val="Aptos Display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9" fontId="1" fillId="0" borderId="0" xfId="0" applyNumberFormat="1" applyFont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vertical="center"/>
      <protection hidden="1"/>
    </xf>
    <xf numFmtId="0" fontId="1" fillId="0" borderId="12" xfId="0" applyFont="1" applyBorder="1" applyAlignment="1" applyProtection="1">
      <alignment horizontal="center" vertical="center"/>
      <protection hidden="1"/>
    </xf>
    <xf numFmtId="9" fontId="1" fillId="0" borderId="12" xfId="0" applyNumberFormat="1" applyFont="1" applyBorder="1" applyAlignment="1" applyProtection="1">
      <alignment horizontal="center" vertical="center"/>
      <protection hidden="1"/>
    </xf>
    <xf numFmtId="9" fontId="1" fillId="0" borderId="13" xfId="0" applyNumberFormat="1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vertical="center"/>
      <protection hidden="1"/>
    </xf>
    <xf numFmtId="0" fontId="1" fillId="0" borderId="14" xfId="0" applyFont="1" applyBorder="1" applyAlignment="1" applyProtection="1">
      <alignment vertical="center"/>
      <protection hidden="1"/>
    </xf>
    <xf numFmtId="0" fontId="1" fillId="0" borderId="7" xfId="0" applyFont="1" applyBorder="1" applyAlignment="1" applyProtection="1">
      <alignment vertical="center"/>
      <protection hidden="1"/>
    </xf>
    <xf numFmtId="166" fontId="1" fillId="0" borderId="16" xfId="0" applyNumberFormat="1" applyFont="1" applyBorder="1" applyAlignment="1" applyProtection="1">
      <alignment horizontal="center" vertical="center"/>
      <protection hidden="1"/>
    </xf>
    <xf numFmtId="9" fontId="6" fillId="0" borderId="0" xfId="0" applyNumberFormat="1" applyFont="1" applyAlignment="1" applyProtection="1">
      <alignment horizontal="center" vertical="center"/>
      <protection hidden="1"/>
    </xf>
    <xf numFmtId="166" fontId="1" fillId="0" borderId="15" xfId="0" applyNumberFormat="1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vertical="center"/>
      <protection hidden="1"/>
    </xf>
    <xf numFmtId="166" fontId="1" fillId="0" borderId="19" xfId="0" applyNumberFormat="1" applyFont="1" applyBorder="1" applyAlignment="1" applyProtection="1">
      <alignment horizontal="center" vertical="center"/>
      <protection hidden="1"/>
    </xf>
    <xf numFmtId="166" fontId="1" fillId="0" borderId="0" xfId="0" applyNumberFormat="1" applyFont="1" applyAlignment="1" applyProtection="1">
      <alignment horizontal="center" vertical="center"/>
      <protection hidden="1"/>
    </xf>
    <xf numFmtId="164" fontId="1" fillId="0" borderId="18" xfId="0" applyNumberFormat="1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9" fontId="1" fillId="0" borderId="18" xfId="0" applyNumberFormat="1" applyFont="1" applyBorder="1" applyAlignment="1" applyProtection="1">
      <alignment horizontal="left" vertical="center"/>
      <protection hidden="1"/>
    </xf>
    <xf numFmtId="0" fontId="4" fillId="3" borderId="2" xfId="0" applyFont="1" applyFill="1" applyBorder="1" applyAlignment="1" applyProtection="1">
      <alignment vertical="center"/>
      <protection hidden="1"/>
    </xf>
    <xf numFmtId="0" fontId="5" fillId="3" borderId="3" xfId="0" applyFont="1" applyFill="1" applyBorder="1" applyAlignment="1" applyProtection="1">
      <alignment horizontal="centerContinuous" vertical="center"/>
      <protection hidden="1"/>
    </xf>
    <xf numFmtId="9" fontId="5" fillId="3" borderId="3" xfId="0" applyNumberFormat="1" applyFont="1" applyFill="1" applyBorder="1" applyAlignment="1" applyProtection="1">
      <alignment horizontal="centerContinuous" vertical="center"/>
      <protection hidden="1"/>
    </xf>
    <xf numFmtId="9" fontId="5" fillId="3" borderId="4" xfId="0" applyNumberFormat="1" applyFont="1" applyFill="1" applyBorder="1" applyAlignment="1" applyProtection="1">
      <alignment horizontal="centerContinuous" vertical="center"/>
      <protection hidden="1"/>
    </xf>
    <xf numFmtId="0" fontId="5" fillId="4" borderId="2" xfId="0" applyFont="1" applyFill="1" applyBorder="1" applyAlignment="1" applyProtection="1">
      <alignment horizontal="centerContinuous" vertical="center"/>
      <protection hidden="1"/>
    </xf>
    <xf numFmtId="0" fontId="5" fillId="4" borderId="3" xfId="0" applyFont="1" applyFill="1" applyBorder="1" applyAlignment="1" applyProtection="1">
      <alignment horizontal="centerContinuous" vertical="center"/>
      <protection hidden="1"/>
    </xf>
    <xf numFmtId="0" fontId="5" fillId="4" borderId="4" xfId="0" applyFont="1" applyFill="1" applyBorder="1" applyAlignment="1" applyProtection="1">
      <alignment horizontal="centerContinuous" vertical="center"/>
      <protection hidden="1"/>
    </xf>
    <xf numFmtId="0" fontId="5" fillId="4" borderId="20" xfId="0" applyFont="1" applyFill="1" applyBorder="1" applyAlignment="1" applyProtection="1">
      <alignment horizontal="centerContinuous" vertical="center"/>
      <protection hidden="1"/>
    </xf>
    <xf numFmtId="0" fontId="5" fillId="3" borderId="3" xfId="0" applyFont="1" applyFill="1" applyBorder="1" applyAlignment="1" applyProtection="1">
      <alignment horizontal="left" vertical="center" indent="6"/>
      <protection hidden="1"/>
    </xf>
    <xf numFmtId="9" fontId="5" fillId="3" borderId="3" xfId="0" applyNumberFormat="1" applyFont="1" applyFill="1" applyBorder="1" applyAlignment="1" applyProtection="1">
      <alignment horizontal="left" vertical="center" indent="12"/>
      <protection hidden="1"/>
    </xf>
    <xf numFmtId="9" fontId="5" fillId="3" borderId="4" xfId="0" applyNumberFormat="1" applyFont="1" applyFill="1" applyBorder="1" applyAlignment="1" applyProtection="1">
      <alignment horizontal="left" vertical="center" indent="12"/>
      <protection hidden="1"/>
    </xf>
    <xf numFmtId="0" fontId="5" fillId="3" borderId="3" xfId="0" applyFont="1" applyFill="1" applyBorder="1" applyAlignment="1" applyProtection="1">
      <alignment horizontal="left" vertical="center" indent="4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9" fontId="5" fillId="3" borderId="0" xfId="0" applyNumberFormat="1" applyFont="1" applyFill="1" applyAlignment="1" applyProtection="1">
      <alignment horizontal="center" vertical="center"/>
      <protection hidden="1"/>
    </xf>
    <xf numFmtId="9" fontId="5" fillId="3" borderId="6" xfId="0" applyNumberFormat="1" applyFont="1" applyFill="1" applyBorder="1" applyAlignment="1" applyProtection="1">
      <alignment horizontal="center" vertical="center"/>
      <protection hidden="1"/>
    </xf>
    <xf numFmtId="0" fontId="5" fillId="4" borderId="5" xfId="0" applyFont="1" applyFill="1" applyBorder="1" applyAlignment="1" applyProtection="1">
      <alignment horizontal="center" vertical="center"/>
      <protection hidden="1"/>
    </xf>
    <xf numFmtId="0" fontId="5" fillId="4" borderId="0" xfId="0" applyFont="1" applyFill="1" applyAlignment="1" applyProtection="1">
      <alignment horizontal="center" vertical="center"/>
      <protection hidden="1"/>
    </xf>
    <xf numFmtId="0" fontId="5" fillId="4" borderId="6" xfId="0" applyFont="1" applyFill="1" applyBorder="1" applyAlignment="1" applyProtection="1">
      <alignment horizontal="center" vertical="center"/>
      <protection hidden="1"/>
    </xf>
    <xf numFmtId="0" fontId="5" fillId="4" borderId="21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5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9" fontId="3" fillId="0" borderId="0" xfId="0" applyNumberFormat="1" applyFont="1" applyAlignment="1" applyProtection="1">
      <alignment horizontal="center" vertical="center"/>
      <protection hidden="1"/>
    </xf>
    <xf numFmtId="9" fontId="3" fillId="0" borderId="6" xfId="0" applyNumberFormat="1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21" xfId="0" applyFont="1" applyBorder="1" applyAlignment="1" applyProtection="1">
      <alignment horizontal="center" vertical="center"/>
      <protection hidden="1"/>
    </xf>
    <xf numFmtId="166" fontId="3" fillId="0" borderId="0" xfId="0" applyNumberFormat="1" applyFont="1" applyAlignment="1" applyProtection="1">
      <alignment horizontal="center" vertical="center"/>
      <protection hidden="1"/>
    </xf>
    <xf numFmtId="165" fontId="3" fillId="0" borderId="0" xfId="0" applyNumberFormat="1" applyFont="1" applyAlignment="1" applyProtection="1">
      <alignment horizontal="center" vertical="center"/>
      <protection hidden="1"/>
    </xf>
    <xf numFmtId="165" fontId="3" fillId="0" borderId="6" xfId="0" applyNumberFormat="1" applyFont="1" applyBorder="1" applyAlignment="1" applyProtection="1">
      <alignment horizontal="center" vertical="center"/>
      <protection hidden="1"/>
    </xf>
    <xf numFmtId="164" fontId="3" fillId="0" borderId="5" xfId="0" applyNumberFormat="1" applyFont="1" applyBorder="1" applyAlignment="1" applyProtection="1">
      <alignment horizontal="center" vertical="center"/>
      <protection hidden="1"/>
    </xf>
    <xf numFmtId="164" fontId="3" fillId="0" borderId="6" xfId="0" applyNumberFormat="1" applyFont="1" applyBorder="1" applyAlignment="1" applyProtection="1">
      <alignment horizontal="center" vertical="center"/>
      <protection hidden="1"/>
    </xf>
    <xf numFmtId="166" fontId="1" fillId="0" borderId="21" xfId="0" applyNumberFormat="1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165" fontId="1" fillId="0" borderId="0" xfId="0" applyNumberFormat="1" applyFont="1" applyAlignment="1" applyProtection="1">
      <alignment horizontal="center" vertical="center"/>
      <protection hidden="1"/>
    </xf>
    <xf numFmtId="165" fontId="1" fillId="0" borderId="6" xfId="0" applyNumberFormat="1" applyFont="1" applyBorder="1" applyAlignment="1" applyProtection="1">
      <alignment horizontal="center" vertical="center"/>
      <protection hidden="1"/>
    </xf>
    <xf numFmtId="164" fontId="1" fillId="0" borderId="6" xfId="0" applyNumberFormat="1" applyFont="1" applyBorder="1" applyAlignment="1" applyProtection="1">
      <alignment horizontal="center" vertical="center"/>
      <protection hidden="1"/>
    </xf>
    <xf numFmtId="166" fontId="1" fillId="0" borderId="6" xfId="0" applyNumberFormat="1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vertical="center"/>
      <protection hidden="1"/>
    </xf>
    <xf numFmtId="9" fontId="1" fillId="0" borderId="6" xfId="0" applyNumberFormat="1" applyFont="1" applyBorder="1" applyAlignment="1" applyProtection="1">
      <alignment horizontal="center" vertical="center"/>
      <protection hidden="1"/>
    </xf>
    <xf numFmtId="164" fontId="1" fillId="0" borderId="5" xfId="0" applyNumberFormat="1" applyFont="1" applyBorder="1" applyAlignment="1" applyProtection="1">
      <alignment horizontal="center" vertical="center"/>
      <protection hidden="1"/>
    </xf>
    <xf numFmtId="166" fontId="3" fillId="0" borderId="21" xfId="0" applyNumberFormat="1" applyFont="1" applyBorder="1" applyAlignment="1" applyProtection="1">
      <alignment horizontal="center" vertical="center"/>
      <protection hidden="1"/>
    </xf>
    <xf numFmtId="0" fontId="3" fillId="5" borderId="5" xfId="0" applyFont="1" applyFill="1" applyBorder="1" applyAlignment="1" applyProtection="1">
      <alignment vertical="center"/>
      <protection hidden="1"/>
    </xf>
    <xf numFmtId="166" fontId="3" fillId="5" borderId="0" xfId="0" applyNumberFormat="1" applyFont="1" applyFill="1" applyAlignment="1" applyProtection="1">
      <alignment horizontal="center" vertical="center"/>
      <protection hidden="1"/>
    </xf>
    <xf numFmtId="165" fontId="3" fillId="5" borderId="0" xfId="0" applyNumberFormat="1" applyFont="1" applyFill="1" applyAlignment="1" applyProtection="1">
      <alignment horizontal="center" vertical="center"/>
      <protection hidden="1"/>
    </xf>
    <xf numFmtId="165" fontId="3" fillId="5" borderId="6" xfId="0" applyNumberFormat="1" applyFont="1" applyFill="1" applyBorder="1" applyAlignment="1" applyProtection="1">
      <alignment horizontal="center" vertical="center"/>
      <protection hidden="1"/>
    </xf>
    <xf numFmtId="164" fontId="3" fillId="5" borderId="5" xfId="0" applyNumberFormat="1" applyFont="1" applyFill="1" applyBorder="1" applyAlignment="1" applyProtection="1">
      <alignment horizontal="center" vertical="center"/>
      <protection hidden="1"/>
    </xf>
    <xf numFmtId="164" fontId="3" fillId="5" borderId="6" xfId="0" applyNumberFormat="1" applyFont="1" applyFill="1" applyBorder="1" applyAlignment="1" applyProtection="1">
      <alignment horizontal="center" vertical="center"/>
      <protection hidden="1"/>
    </xf>
    <xf numFmtId="166" fontId="3" fillId="5" borderId="21" xfId="0" applyNumberFormat="1" applyFont="1" applyFill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vertical="center"/>
      <protection hidden="1"/>
    </xf>
    <xf numFmtId="166" fontId="3" fillId="0" borderId="9" xfId="0" applyNumberFormat="1" applyFont="1" applyBorder="1" applyAlignment="1" applyProtection="1">
      <alignment horizontal="center" vertical="center"/>
      <protection hidden="1"/>
    </xf>
    <xf numFmtId="165" fontId="3" fillId="0" borderId="9" xfId="0" applyNumberFormat="1" applyFont="1" applyBorder="1" applyAlignment="1" applyProtection="1">
      <alignment horizontal="center" vertical="center"/>
      <protection hidden="1"/>
    </xf>
    <xf numFmtId="165" fontId="3" fillId="0" borderId="10" xfId="0" applyNumberFormat="1" applyFont="1" applyBorder="1" applyAlignment="1" applyProtection="1">
      <alignment horizontal="center" vertical="center"/>
      <protection hidden="1"/>
    </xf>
    <xf numFmtId="164" fontId="3" fillId="0" borderId="8" xfId="0" applyNumberFormat="1" applyFont="1" applyBorder="1" applyAlignment="1" applyProtection="1">
      <alignment horizontal="center" vertical="center"/>
      <protection hidden="1"/>
    </xf>
    <xf numFmtId="164" fontId="3" fillId="0" borderId="10" xfId="0" applyNumberFormat="1" applyFont="1" applyBorder="1" applyAlignment="1" applyProtection="1">
      <alignment horizontal="center" vertical="center"/>
      <protection hidden="1"/>
    </xf>
    <xf numFmtId="166" fontId="3" fillId="0" borderId="1" xfId="0" applyNumberFormat="1" applyFont="1" applyBorder="1" applyAlignment="1" applyProtection="1">
      <alignment horizontal="center" vertical="center"/>
      <protection hidden="1"/>
    </xf>
    <xf numFmtId="165" fontId="3" fillId="2" borderId="9" xfId="0" applyNumberFormat="1" applyFont="1" applyFill="1" applyBorder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locked="0"/>
    </xf>
    <xf numFmtId="166" fontId="6" fillId="0" borderId="0" xfId="0" applyNumberFormat="1" applyFont="1" applyAlignment="1" applyProtection="1">
      <alignment horizontal="center" vertical="center"/>
      <protection locked="0"/>
    </xf>
    <xf numFmtId="166" fontId="7" fillId="0" borderId="0" xfId="0" applyNumberFormat="1" applyFont="1" applyAlignment="1" applyProtection="1">
      <alignment horizontal="center" vertical="center"/>
      <protection locked="0"/>
    </xf>
    <xf numFmtId="164" fontId="6" fillId="0" borderId="5" xfId="0" applyNumberFormat="1" applyFont="1" applyBorder="1" applyAlignment="1" applyProtection="1">
      <alignment horizontal="center" vertical="center"/>
      <protection locked="0"/>
    </xf>
    <xf numFmtId="10" fontId="6" fillId="0" borderId="15" xfId="0" applyNumberFormat="1" applyFont="1" applyBorder="1" applyAlignment="1" applyProtection="1">
      <alignment horizontal="center" vertical="center"/>
      <protection locked="0"/>
    </xf>
    <xf numFmtId="166" fontId="3" fillId="5" borderId="6" xfId="0" applyNumberFormat="1" applyFont="1" applyFill="1" applyBorder="1" applyAlignment="1" applyProtection="1">
      <alignment horizontal="center" vertical="center"/>
      <protection hidden="1"/>
    </xf>
    <xf numFmtId="166" fontId="3" fillId="0" borderId="10" xfId="0" applyNumberFormat="1" applyFont="1" applyBorder="1" applyAlignment="1" applyProtection="1">
      <alignment horizontal="center" vertical="center"/>
      <protection hidden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62523</xdr:colOff>
      <xdr:row>2</xdr:row>
      <xdr:rowOff>64500</xdr:rowOff>
    </xdr:from>
    <xdr:to>
      <xdr:col>1</xdr:col>
      <xdr:colOff>1320012</xdr:colOff>
      <xdr:row>4</xdr:row>
      <xdr:rowOff>106015</xdr:rowOff>
    </xdr:to>
    <xdr:pic>
      <xdr:nvPicPr>
        <xdr:cNvPr id="3" name="Picture 6" descr="Growth Capital | Connecting outstanding entrepreneurs and visionary  investors">
          <a:extLst>
            <a:ext uri="{FF2B5EF4-FFF2-40B4-BE49-F238E27FC236}">
              <a16:creationId xmlns:a16="http://schemas.microsoft.com/office/drawing/2014/main" id="{29E9A81D-D5B9-49EC-92B2-46AD270EE0B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923" b="32747"/>
        <a:stretch/>
      </xdr:blipFill>
      <xdr:spPr bwMode="auto">
        <a:xfrm>
          <a:off x="300648" y="455025"/>
          <a:ext cx="1257489" cy="43204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1429903</xdr:colOff>
      <xdr:row>2</xdr:row>
      <xdr:rowOff>67234</xdr:rowOff>
    </xdr:from>
    <xdr:to>
      <xdr:col>2</xdr:col>
      <xdr:colOff>777802</xdr:colOff>
      <xdr:row>4</xdr:row>
      <xdr:rowOff>103281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87F7DA9-23FF-CDCD-E266-9180D2537A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1" t="38161" r="15423" b="38005"/>
        <a:stretch>
          <a:fillRect/>
        </a:stretch>
      </xdr:blipFill>
      <xdr:spPr bwMode="auto">
        <a:xfrm>
          <a:off x="1668028" y="457759"/>
          <a:ext cx="1205274" cy="426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865400</xdr:colOff>
      <xdr:row>2</xdr:row>
      <xdr:rowOff>84620</xdr:rowOff>
    </xdr:from>
    <xdr:to>
      <xdr:col>4</xdr:col>
      <xdr:colOff>401515</xdr:colOff>
      <xdr:row>4</xdr:row>
      <xdr:rowOff>85896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7888E9B9-8EF2-FB37-9C9A-6538E51EC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0900" y="475145"/>
          <a:ext cx="1917365" cy="391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68916</xdr:colOff>
      <xdr:row>2</xdr:row>
      <xdr:rowOff>63874</xdr:rowOff>
    </xdr:from>
    <xdr:to>
      <xdr:col>1</xdr:col>
      <xdr:colOff>1326405</xdr:colOff>
      <xdr:row>4</xdr:row>
      <xdr:rowOff>114914</xdr:rowOff>
    </xdr:to>
    <xdr:pic>
      <xdr:nvPicPr>
        <xdr:cNvPr id="2" name="Picture 6" descr="Growth Capital | Connecting outstanding entrepreneurs and visionary  investors">
          <a:extLst>
            <a:ext uri="{FF2B5EF4-FFF2-40B4-BE49-F238E27FC236}">
              <a16:creationId xmlns:a16="http://schemas.microsoft.com/office/drawing/2014/main" id="{3623A54F-DE76-4667-8062-7BDB1BDE9D8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923" b="32747"/>
        <a:stretch/>
      </xdr:blipFill>
      <xdr:spPr bwMode="auto">
        <a:xfrm>
          <a:off x="307041" y="454399"/>
          <a:ext cx="1257489" cy="43204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1436296</xdr:colOff>
      <xdr:row>2</xdr:row>
      <xdr:rowOff>66608</xdr:rowOff>
    </xdr:from>
    <xdr:to>
      <xdr:col>2</xdr:col>
      <xdr:colOff>781394</xdr:colOff>
      <xdr:row>4</xdr:row>
      <xdr:rowOff>112180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476AE449-5CFD-46D1-AAEF-B113425558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1" t="38161" r="15423" b="38005"/>
        <a:stretch>
          <a:fillRect/>
        </a:stretch>
      </xdr:blipFill>
      <xdr:spPr bwMode="auto">
        <a:xfrm>
          <a:off x="1674421" y="457133"/>
          <a:ext cx="1202473" cy="426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868992</xdr:colOff>
      <xdr:row>2</xdr:row>
      <xdr:rowOff>83994</xdr:rowOff>
    </xdr:from>
    <xdr:to>
      <xdr:col>4</xdr:col>
      <xdr:colOff>410710</xdr:colOff>
      <xdr:row>4</xdr:row>
      <xdr:rowOff>94795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4550EBA3-8B26-4ECE-9281-18F912949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4492" y="474519"/>
          <a:ext cx="1922968" cy="391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4F585-0D6A-4AD3-B23A-73911F1CD997}">
  <dimension ref="B1:U21"/>
  <sheetViews>
    <sheetView showGridLines="0"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F12" sqref="F12"/>
    </sheetView>
  </sheetViews>
  <sheetFormatPr defaultColWidth="8.85546875" defaultRowHeight="15" x14ac:dyDescent="0.25"/>
  <cols>
    <col min="1" max="1" width="3.5703125" style="1" customWidth="1"/>
    <col min="2" max="2" width="27.85546875" style="1" customWidth="1"/>
    <col min="3" max="3" width="17.85546875" style="2" customWidth="1"/>
    <col min="4" max="5" width="17.85546875" style="3" customWidth="1"/>
    <col min="6" max="6" width="23.5703125" style="2" customWidth="1"/>
    <col min="7" max="8" width="17.85546875" style="2" customWidth="1"/>
    <col min="9" max="9" width="23.5703125" style="3" customWidth="1" collapsed="1"/>
    <col min="10" max="10" width="17.85546875" style="3" customWidth="1"/>
    <col min="11" max="11" width="17.85546875" style="1" customWidth="1"/>
    <col min="12" max="12" width="38.28515625" style="1" bestFit="1" customWidth="1" collapsed="1"/>
    <col min="13" max="18" width="17.85546875" style="1" customWidth="1"/>
    <col min="19" max="19" width="18.140625" style="1" customWidth="1"/>
    <col min="20" max="21" width="18" style="1" customWidth="1"/>
    <col min="22" max="16384" width="8.85546875" style="1"/>
  </cols>
  <sheetData>
    <row r="1" spans="2:21" ht="15.75" thickBot="1" x14ac:dyDescent="0.3"/>
    <row r="2" spans="2:21" x14ac:dyDescent="0.25">
      <c r="F2" s="4" t="s">
        <v>24</v>
      </c>
      <c r="G2" s="5"/>
      <c r="H2" s="5"/>
      <c r="I2" s="6"/>
      <c r="J2" s="7"/>
      <c r="L2" s="4" t="s">
        <v>17</v>
      </c>
      <c r="M2" s="8"/>
    </row>
    <row r="3" spans="2:21" x14ac:dyDescent="0.25">
      <c r="C3"/>
      <c r="F3" s="9" t="s">
        <v>12</v>
      </c>
      <c r="G3" s="78">
        <v>5000000</v>
      </c>
      <c r="H3" s="1"/>
      <c r="I3" s="10" t="s">
        <v>14</v>
      </c>
      <c r="J3" s="11">
        <f>+ROUND(J4/(1-G3/(G3+G4))-J4,2)</f>
        <v>3333.33</v>
      </c>
      <c r="L3" s="9" t="s">
        <v>18</v>
      </c>
      <c r="M3" s="82">
        <v>7.0000000000000007E-2</v>
      </c>
      <c r="N3" s="12"/>
      <c r="O3" s="12"/>
      <c r="P3" s="12"/>
    </row>
    <row r="4" spans="2:21" ht="15.75" thickBot="1" x14ac:dyDescent="0.3">
      <c r="F4" s="9" t="s">
        <v>29</v>
      </c>
      <c r="G4" s="78">
        <v>15000000</v>
      </c>
      <c r="H4" s="1"/>
      <c r="I4" s="1" t="s">
        <v>13</v>
      </c>
      <c r="J4" s="13">
        <f>+C21</f>
        <v>10000</v>
      </c>
      <c r="L4" s="14" t="s">
        <v>19</v>
      </c>
      <c r="M4" s="15">
        <f>+ROUND(I21/(1-M3)-I21,2)</f>
        <v>1003.58</v>
      </c>
      <c r="N4" s="16"/>
      <c r="O4" s="16"/>
      <c r="P4" s="16"/>
    </row>
    <row r="5" spans="2:21" ht="15.75" thickBot="1" x14ac:dyDescent="0.3">
      <c r="B5"/>
      <c r="F5" s="14" t="s">
        <v>30</v>
      </c>
      <c r="G5" s="17">
        <f>+G3+G4</f>
        <v>20000000</v>
      </c>
      <c r="H5" s="18"/>
      <c r="I5" s="19"/>
      <c r="J5" s="15"/>
    </row>
    <row r="8" spans="2:21" x14ac:dyDescent="0.25">
      <c r="B8" s="20"/>
      <c r="C8" s="21" t="s">
        <v>7</v>
      </c>
      <c r="D8" s="22"/>
      <c r="E8" s="23"/>
      <c r="F8" s="24" t="s">
        <v>23</v>
      </c>
      <c r="G8" s="25"/>
      <c r="H8" s="26"/>
      <c r="I8" s="21" t="s">
        <v>11</v>
      </c>
      <c r="J8" s="22"/>
      <c r="K8" s="23"/>
      <c r="L8" s="27" t="s">
        <v>25</v>
      </c>
      <c r="M8" s="28" t="s">
        <v>21</v>
      </c>
      <c r="N8" s="29"/>
      <c r="O8" s="30"/>
      <c r="P8" s="25" t="s">
        <v>26</v>
      </c>
      <c r="Q8" s="25"/>
      <c r="R8" s="26"/>
      <c r="S8" s="31" t="s">
        <v>28</v>
      </c>
      <c r="T8" s="29"/>
      <c r="U8" s="30"/>
    </row>
    <row r="9" spans="2:21" s="40" customFormat="1" x14ac:dyDescent="0.25">
      <c r="B9" s="32" t="s">
        <v>0</v>
      </c>
      <c r="C9" s="33" t="s">
        <v>16</v>
      </c>
      <c r="D9" s="34" t="s">
        <v>20</v>
      </c>
      <c r="E9" s="35" t="s">
        <v>6</v>
      </c>
      <c r="F9" s="36" t="s">
        <v>8</v>
      </c>
      <c r="G9" s="37" t="s">
        <v>9</v>
      </c>
      <c r="H9" s="38" t="s">
        <v>10</v>
      </c>
      <c r="I9" s="33" t="s">
        <v>15</v>
      </c>
      <c r="J9" s="34" t="s">
        <v>20</v>
      </c>
      <c r="K9" s="35" t="s">
        <v>6</v>
      </c>
      <c r="L9" s="39" t="s">
        <v>9</v>
      </c>
      <c r="M9" s="33" t="s">
        <v>15</v>
      </c>
      <c r="N9" s="34" t="s">
        <v>20</v>
      </c>
      <c r="O9" s="35" t="s">
        <v>6</v>
      </c>
      <c r="P9" s="37" t="s">
        <v>8</v>
      </c>
      <c r="Q9" s="37" t="s">
        <v>27</v>
      </c>
      <c r="R9" s="38" t="s">
        <v>10</v>
      </c>
      <c r="S9" s="33" t="s">
        <v>15</v>
      </c>
      <c r="T9" s="34" t="s">
        <v>20</v>
      </c>
      <c r="U9" s="35" t="s">
        <v>6</v>
      </c>
    </row>
    <row r="10" spans="2:21" s="40" customFormat="1" ht="6" customHeight="1" x14ac:dyDescent="0.25">
      <c r="B10" s="41"/>
      <c r="C10" s="42"/>
      <c r="D10" s="43"/>
      <c r="E10" s="44"/>
      <c r="F10" s="45"/>
      <c r="G10" s="42"/>
      <c r="H10" s="46"/>
      <c r="I10" s="42"/>
      <c r="J10" s="43"/>
      <c r="K10" s="44"/>
      <c r="L10" s="47"/>
      <c r="M10" s="42"/>
      <c r="N10" s="43"/>
      <c r="O10" s="44"/>
      <c r="P10" s="43"/>
      <c r="Q10" s="42"/>
      <c r="R10" s="46"/>
      <c r="S10" s="42"/>
      <c r="T10" s="43"/>
      <c r="U10" s="44"/>
    </row>
    <row r="11" spans="2:21" s="40" customFormat="1" ht="15.95" customHeight="1" x14ac:dyDescent="0.25">
      <c r="B11" s="41" t="s">
        <v>1</v>
      </c>
      <c r="C11" s="48">
        <f>+SUM(C12:C13)</f>
        <v>10000</v>
      </c>
      <c r="D11" s="49">
        <f t="shared" ref="D11:H11" si="0">+SUM(D12:D13)</f>
        <v>1</v>
      </c>
      <c r="E11" s="50">
        <f t="shared" si="0"/>
        <v>1</v>
      </c>
      <c r="F11" s="51">
        <f>+SUM(F12:F13)</f>
        <v>0</v>
      </c>
      <c r="G11" s="48">
        <f>+SUM(G12:G13)</f>
        <v>0</v>
      </c>
      <c r="H11" s="52">
        <f t="shared" si="0"/>
        <v>0</v>
      </c>
      <c r="I11" s="48">
        <f t="shared" ref="I11:K11" si="1">+SUM(I12:I13)</f>
        <v>10000</v>
      </c>
      <c r="J11" s="49">
        <f t="shared" si="1"/>
        <v>0.75000018750004693</v>
      </c>
      <c r="K11" s="50">
        <f t="shared" si="1"/>
        <v>0.75000018750004693</v>
      </c>
      <c r="L11" s="53"/>
      <c r="M11" s="48">
        <f>+SUM(M12:M13)</f>
        <v>10000</v>
      </c>
      <c r="N11" s="49">
        <f>+SUM(N12:N13)</f>
        <v>0.75000018750004693</v>
      </c>
      <c r="O11" s="50">
        <f>+SUM(O12:O13)</f>
        <v>0.6975003679314441</v>
      </c>
      <c r="P11" s="49"/>
      <c r="Q11" s="48"/>
      <c r="R11" s="52"/>
      <c r="S11" s="48">
        <f>+SUM(S12:S13)</f>
        <v>10000</v>
      </c>
      <c r="T11" s="49">
        <f>+SUM(T12:T13)</f>
        <v>0.6975003679314441</v>
      </c>
      <c r="U11" s="50">
        <f>+SUM(U12:U13)</f>
        <v>0.6975003679314441</v>
      </c>
    </row>
    <row r="12" spans="2:21" x14ac:dyDescent="0.25">
      <c r="B12" s="54" t="s">
        <v>2</v>
      </c>
      <c r="C12" s="79">
        <v>5000</v>
      </c>
      <c r="D12" s="55">
        <f>+C12/C$19</f>
        <v>0.5</v>
      </c>
      <c r="E12" s="56">
        <f>+C12/C$21</f>
        <v>0.5</v>
      </c>
      <c r="F12" s="81">
        <v>0</v>
      </c>
      <c r="G12" s="16">
        <f t="shared" ref="G12:G13" si="2">+ROUND(J$3*F12/G$3,2)</f>
        <v>0</v>
      </c>
      <c r="H12" s="57">
        <f t="shared" ref="H12:H13" si="3">+F12-G12</f>
        <v>0</v>
      </c>
      <c r="I12" s="16">
        <f>+C12+G12</f>
        <v>5000</v>
      </c>
      <c r="J12" s="55">
        <f>+I12/I$19</f>
        <v>0.37500009375002347</v>
      </c>
      <c r="K12" s="56">
        <f>+I12/I$21</f>
        <v>0.37500009375002347</v>
      </c>
      <c r="L12" s="53"/>
      <c r="M12" s="16">
        <f>+I12+L12</f>
        <v>5000</v>
      </c>
      <c r="N12" s="55">
        <f>+M12/M$19</f>
        <v>0.37500009375002347</v>
      </c>
      <c r="O12" s="56">
        <f>+M12/M$21</f>
        <v>0.34875018396572205</v>
      </c>
      <c r="P12" s="55"/>
      <c r="Q12" s="16"/>
      <c r="R12" s="58"/>
      <c r="S12" s="16">
        <f>+M12+Q12</f>
        <v>5000</v>
      </c>
      <c r="T12" s="55">
        <f>+S12/S$19</f>
        <v>0.34875018396572205</v>
      </c>
      <c r="U12" s="56">
        <f>+S12/S$21</f>
        <v>0.34875018396572205</v>
      </c>
    </row>
    <row r="13" spans="2:21" ht="13.5" customHeight="1" x14ac:dyDescent="0.25">
      <c r="B13" s="54" t="s">
        <v>3</v>
      </c>
      <c r="C13" s="79">
        <v>5000</v>
      </c>
      <c r="D13" s="55">
        <f>+C13/C$19</f>
        <v>0.5</v>
      </c>
      <c r="E13" s="56">
        <f>+C13/C$21</f>
        <v>0.5</v>
      </c>
      <c r="F13" s="81">
        <v>0</v>
      </c>
      <c r="G13" s="16">
        <f t="shared" si="2"/>
        <v>0</v>
      </c>
      <c r="H13" s="57">
        <f t="shared" si="3"/>
        <v>0</v>
      </c>
      <c r="I13" s="16">
        <f>+C13+G13</f>
        <v>5000</v>
      </c>
      <c r="J13" s="55">
        <f>+I13/I$19</f>
        <v>0.37500009375002347</v>
      </c>
      <c r="K13" s="56">
        <f>+I13/I$21</f>
        <v>0.37500009375002347</v>
      </c>
      <c r="L13" s="53"/>
      <c r="M13" s="16">
        <f>+I13+L13</f>
        <v>5000</v>
      </c>
      <c r="N13" s="55">
        <f>+M13/M$19</f>
        <v>0.37500009375002347</v>
      </c>
      <c r="O13" s="56">
        <f>+M13/M$21</f>
        <v>0.34875018396572205</v>
      </c>
      <c r="P13" s="55"/>
      <c r="Q13" s="48"/>
      <c r="R13" s="52"/>
      <c r="S13" s="16">
        <f>+M13+Q13</f>
        <v>5000</v>
      </c>
      <c r="T13" s="55">
        <f>+S13/S$19</f>
        <v>0.34875018396572205</v>
      </c>
      <c r="U13" s="56">
        <f>+S13/S$21</f>
        <v>0.34875018396572205</v>
      </c>
    </row>
    <row r="14" spans="2:21" ht="13.5" customHeight="1" x14ac:dyDescent="0.25">
      <c r="B14" s="59"/>
      <c r="C14" s="16"/>
      <c r="E14" s="60"/>
      <c r="F14" s="61"/>
      <c r="G14" s="16"/>
      <c r="H14" s="57"/>
      <c r="I14" s="16"/>
      <c r="K14" s="60"/>
      <c r="L14" s="53"/>
      <c r="M14" s="16"/>
      <c r="N14" s="3"/>
      <c r="O14" s="60"/>
      <c r="P14" s="3"/>
      <c r="Q14" s="48"/>
      <c r="R14" s="52"/>
      <c r="S14" s="16"/>
      <c r="T14" s="3"/>
      <c r="U14" s="60"/>
    </row>
    <row r="15" spans="2:21" s="40" customFormat="1" ht="13.5" customHeight="1" x14ac:dyDescent="0.25">
      <c r="B15" s="41" t="s">
        <v>22</v>
      </c>
      <c r="C15" s="80">
        <v>0</v>
      </c>
      <c r="D15" s="55">
        <f>+C15/C$19</f>
        <v>0</v>
      </c>
      <c r="E15" s="56">
        <f>+C15/C$21</f>
        <v>0</v>
      </c>
      <c r="F15" s="51">
        <f>+G3-F12-F13</f>
        <v>5000000</v>
      </c>
      <c r="G15" s="48">
        <f>+ROUND(J$3*F15/G$3,2)</f>
        <v>3333.33</v>
      </c>
      <c r="H15" s="52">
        <f>+F15-G15</f>
        <v>4996666.67</v>
      </c>
      <c r="I15" s="48">
        <f>+G15</f>
        <v>3333.33</v>
      </c>
      <c r="J15" s="55">
        <f>+I15/I$19</f>
        <v>0.24999981249995312</v>
      </c>
      <c r="K15" s="56">
        <f>+I15/I$21</f>
        <v>0.24999981249995312</v>
      </c>
      <c r="L15" s="62"/>
      <c r="M15" s="48">
        <f>+I15</f>
        <v>3333.33</v>
      </c>
      <c r="N15" s="55">
        <f>+M15/M$19</f>
        <v>0.24999981249995312</v>
      </c>
      <c r="O15" s="56">
        <f>+M15/M$21</f>
        <v>0.23249989014369205</v>
      </c>
      <c r="P15" s="55"/>
      <c r="Q15" s="48"/>
      <c r="R15" s="52"/>
      <c r="S15" s="48">
        <f>+M15</f>
        <v>3333.33</v>
      </c>
      <c r="T15" s="55">
        <f>+S15/S$19</f>
        <v>0.23249989014369205</v>
      </c>
      <c r="U15" s="56">
        <f>+S15/S$21</f>
        <v>0.23249989014369205</v>
      </c>
    </row>
    <row r="16" spans="2:21" ht="13.5" customHeight="1" x14ac:dyDescent="0.25">
      <c r="B16" s="59"/>
      <c r="C16" s="16"/>
      <c r="E16" s="60"/>
      <c r="F16" s="61"/>
      <c r="G16" s="16"/>
      <c r="H16" s="57"/>
      <c r="I16" s="16"/>
      <c r="K16" s="60"/>
      <c r="L16" s="53"/>
      <c r="M16" s="16"/>
      <c r="N16" s="3"/>
      <c r="O16" s="60"/>
      <c r="P16" s="3"/>
      <c r="Q16" s="48"/>
      <c r="R16" s="52"/>
      <c r="S16" s="16"/>
      <c r="T16" s="3"/>
      <c r="U16" s="60"/>
    </row>
    <row r="17" spans="2:21" ht="13.5" customHeight="1" x14ac:dyDescent="0.25">
      <c r="B17" s="63" t="s">
        <v>17</v>
      </c>
      <c r="C17" s="64"/>
      <c r="D17" s="65"/>
      <c r="E17" s="66">
        <f>+C17/C$21</f>
        <v>0</v>
      </c>
      <c r="F17" s="67"/>
      <c r="G17" s="64"/>
      <c r="H17" s="68"/>
      <c r="I17" s="64"/>
      <c r="J17" s="65"/>
      <c r="K17" s="66">
        <f>+I17/I$21</f>
        <v>0</v>
      </c>
      <c r="L17" s="69">
        <f>+M4</f>
        <v>1003.58</v>
      </c>
      <c r="M17" s="64">
        <f>+I17+L17</f>
        <v>1003.58</v>
      </c>
      <c r="N17" s="65"/>
      <c r="O17" s="66">
        <f>+M17/M$21</f>
        <v>6.999974192486387E-2</v>
      </c>
      <c r="P17" s="64">
        <f>+M4</f>
        <v>1003.58</v>
      </c>
      <c r="Q17" s="64">
        <f>+M17</f>
        <v>1003.58</v>
      </c>
      <c r="R17" s="68">
        <v>0</v>
      </c>
      <c r="S17" s="64">
        <f>+M17</f>
        <v>1003.58</v>
      </c>
      <c r="T17" s="65">
        <f>+S17/S$19</f>
        <v>6.999974192486387E-2</v>
      </c>
      <c r="U17" s="66">
        <f>+S17/S$21</f>
        <v>6.999974192486387E-2</v>
      </c>
    </row>
    <row r="18" spans="2:21" ht="13.5" customHeight="1" x14ac:dyDescent="0.25">
      <c r="B18" s="59"/>
      <c r="C18" s="16"/>
      <c r="E18" s="60"/>
      <c r="F18" s="61"/>
      <c r="G18" s="16"/>
      <c r="H18" s="57"/>
      <c r="I18" s="16"/>
      <c r="K18" s="60"/>
      <c r="L18" s="53"/>
      <c r="M18" s="16"/>
      <c r="N18" s="3"/>
      <c r="O18" s="60"/>
      <c r="P18" s="3"/>
      <c r="Q18" s="16"/>
      <c r="R18" s="57"/>
      <c r="S18" s="16"/>
      <c r="T18" s="3"/>
      <c r="U18" s="60"/>
    </row>
    <row r="19" spans="2:21" s="40" customFormat="1" ht="13.5" customHeight="1" x14ac:dyDescent="0.25">
      <c r="B19" s="70" t="s">
        <v>5</v>
      </c>
      <c r="C19" s="71">
        <f t="shared" ref="C19:K19" si="4">+C11+C15</f>
        <v>10000</v>
      </c>
      <c r="D19" s="72">
        <f>+D11+D15</f>
        <v>1</v>
      </c>
      <c r="E19" s="73">
        <f>+E11+E15</f>
        <v>1</v>
      </c>
      <c r="F19" s="74">
        <f t="shared" si="4"/>
        <v>5000000</v>
      </c>
      <c r="G19" s="71">
        <f t="shared" si="4"/>
        <v>3333.33</v>
      </c>
      <c r="H19" s="75">
        <f t="shared" si="4"/>
        <v>4996666.67</v>
      </c>
      <c r="I19" s="71">
        <f t="shared" si="4"/>
        <v>13333.33</v>
      </c>
      <c r="J19" s="72">
        <f t="shared" si="4"/>
        <v>1</v>
      </c>
      <c r="K19" s="73">
        <f t="shared" si="4"/>
        <v>1</v>
      </c>
      <c r="L19" s="76"/>
      <c r="M19" s="71">
        <f>+M11+M15</f>
        <v>13333.33</v>
      </c>
      <c r="N19" s="72">
        <f>+N11+N15</f>
        <v>1</v>
      </c>
      <c r="O19" s="73">
        <f>+O11+O15</f>
        <v>0.93000025807513609</v>
      </c>
      <c r="P19" s="71">
        <f>+P17</f>
        <v>1003.58</v>
      </c>
      <c r="Q19" s="71">
        <f>+Q17</f>
        <v>1003.58</v>
      </c>
      <c r="R19" s="75">
        <f>+R17</f>
        <v>0</v>
      </c>
      <c r="S19" s="71">
        <f>+S11+S15+S17</f>
        <v>14336.91</v>
      </c>
      <c r="T19" s="72">
        <f>+T11+T15+T17</f>
        <v>1</v>
      </c>
      <c r="U19" s="73">
        <f>+U11+U15+U17</f>
        <v>1</v>
      </c>
    </row>
    <row r="20" spans="2:21" ht="13.5" customHeight="1" x14ac:dyDescent="0.25">
      <c r="B20" s="59"/>
      <c r="C20" s="16"/>
      <c r="E20" s="60"/>
      <c r="F20" s="61"/>
      <c r="G20" s="16"/>
      <c r="H20" s="57"/>
      <c r="I20" s="16"/>
      <c r="K20" s="60"/>
      <c r="L20" s="53"/>
      <c r="M20" s="16"/>
      <c r="N20" s="3"/>
      <c r="O20" s="60"/>
      <c r="P20" s="3"/>
      <c r="Q20" s="16"/>
      <c r="R20" s="57"/>
      <c r="S20" s="16"/>
      <c r="T20" s="3"/>
      <c r="U20" s="60"/>
    </row>
    <row r="21" spans="2:21" s="40" customFormat="1" ht="13.5" customHeight="1" x14ac:dyDescent="0.25">
      <c r="B21" s="70" t="s">
        <v>4</v>
      </c>
      <c r="C21" s="71">
        <f>+C19</f>
        <v>10000</v>
      </c>
      <c r="D21" s="77"/>
      <c r="E21" s="73">
        <f>+E19</f>
        <v>1</v>
      </c>
      <c r="F21" s="74"/>
      <c r="G21" s="71"/>
      <c r="H21" s="75"/>
      <c r="I21" s="71">
        <f>+I19</f>
        <v>13333.33</v>
      </c>
      <c r="J21" s="77"/>
      <c r="K21" s="73">
        <f>+K19</f>
        <v>1</v>
      </c>
      <c r="L21" s="76"/>
      <c r="M21" s="71">
        <f>+M19+M17</f>
        <v>14336.91</v>
      </c>
      <c r="N21" s="77"/>
      <c r="O21" s="73">
        <f>+O19+O17</f>
        <v>1</v>
      </c>
      <c r="P21" s="72"/>
      <c r="Q21" s="71"/>
      <c r="R21" s="75"/>
      <c r="S21" s="71">
        <f>+S19</f>
        <v>14336.91</v>
      </c>
      <c r="T21" s="77"/>
      <c r="U21" s="73">
        <f>+U19</f>
        <v>1</v>
      </c>
    </row>
  </sheetData>
  <sheetProtection algorithmName="SHA-512" hashValue="OHgpSshr2enyY7nllwHKBmQZZsMxnbghxEoq2JxAjA43mg+YD7SWhmMSpXGh1HclXXF+GoRilFkeKTiE2a/PZA==" saltValue="Hn9Zs1oj93OAiCHK7AAx3A==" spinCount="100000" sheet="1" objects="1" scenarios="1" select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4D5DF-A76C-4453-A0B8-B9E8CF33A3C2}">
  <dimension ref="B1:U21"/>
  <sheetViews>
    <sheetView showGridLines="0" tabSelected="1"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2" sqref="C12"/>
    </sheetView>
  </sheetViews>
  <sheetFormatPr defaultColWidth="8.85546875" defaultRowHeight="15" x14ac:dyDescent="0.25"/>
  <cols>
    <col min="1" max="1" width="3.5703125" style="1" customWidth="1"/>
    <col min="2" max="2" width="27.85546875" style="1" customWidth="1"/>
    <col min="3" max="3" width="17.85546875" style="2" customWidth="1"/>
    <col min="4" max="5" width="17.85546875" style="3" customWidth="1"/>
    <col min="6" max="6" width="23.5703125" style="2" customWidth="1"/>
    <col min="7" max="8" width="17.85546875" style="2" customWidth="1"/>
    <col min="9" max="9" width="23.5703125" style="3" customWidth="1" collapsed="1"/>
    <col min="10" max="10" width="17.85546875" style="3" customWidth="1"/>
    <col min="11" max="11" width="17.85546875" style="1" customWidth="1"/>
    <col min="12" max="12" width="38.28515625" style="1" bestFit="1" customWidth="1" collapsed="1"/>
    <col min="13" max="18" width="17.85546875" style="1" customWidth="1"/>
    <col min="19" max="19" width="18.140625" style="1" customWidth="1"/>
    <col min="20" max="21" width="18" style="1" customWidth="1"/>
    <col min="22" max="16384" width="8.85546875" style="1"/>
  </cols>
  <sheetData>
    <row r="1" spans="2:21" ht="15.75" thickBot="1" x14ac:dyDescent="0.3"/>
    <row r="2" spans="2:21" x14ac:dyDescent="0.25">
      <c r="F2" s="4" t="s">
        <v>24</v>
      </c>
      <c r="G2" s="5"/>
      <c r="H2" s="5"/>
      <c r="I2" s="6"/>
      <c r="J2" s="7"/>
      <c r="L2" s="4" t="s">
        <v>17</v>
      </c>
      <c r="M2" s="8"/>
    </row>
    <row r="3" spans="2:21" x14ac:dyDescent="0.25">
      <c r="F3" s="9" t="s">
        <v>12</v>
      </c>
      <c r="G3" s="78">
        <v>5000000</v>
      </c>
      <c r="H3" s="1"/>
      <c r="I3" s="10" t="s">
        <v>14</v>
      </c>
      <c r="J3" s="11">
        <f>+ROUND(J4/(1-G3/(G3+G4))-J4,2)</f>
        <v>3333.33</v>
      </c>
      <c r="L3" s="9" t="s">
        <v>18</v>
      </c>
      <c r="M3" s="82">
        <v>7.0000000000000007E-2</v>
      </c>
    </row>
    <row r="4" spans="2:21" x14ac:dyDescent="0.25">
      <c r="F4" s="9" t="s">
        <v>29</v>
      </c>
      <c r="G4" s="78">
        <v>15000000</v>
      </c>
      <c r="H4" s="1"/>
      <c r="I4" s="1" t="s">
        <v>13</v>
      </c>
      <c r="J4" s="13">
        <f>+C21</f>
        <v>10000</v>
      </c>
      <c r="L4" s="9" t="s">
        <v>19</v>
      </c>
      <c r="M4" s="13">
        <f>+ROUND(I21/(1-M3)-I21,2)</f>
        <v>1003.58</v>
      </c>
      <c r="N4" s="16"/>
      <c r="O4" s="16"/>
      <c r="P4" s="16"/>
    </row>
    <row r="5" spans="2:21" ht="15.75" thickBot="1" x14ac:dyDescent="0.3">
      <c r="F5" s="14" t="s">
        <v>30</v>
      </c>
      <c r="G5" s="17">
        <f>+G3+G4</f>
        <v>20000000</v>
      </c>
      <c r="H5" s="18"/>
      <c r="I5" s="19"/>
      <c r="J5" s="15"/>
      <c r="L5" s="9" t="s">
        <v>31</v>
      </c>
      <c r="M5" s="82">
        <v>0.2</v>
      </c>
    </row>
    <row r="6" spans="2:21" ht="15.75" thickBot="1" x14ac:dyDescent="0.3">
      <c r="L6" s="14" t="s">
        <v>32</v>
      </c>
      <c r="M6" s="15">
        <f>+G5*(1-M5)</f>
        <v>16000000</v>
      </c>
    </row>
    <row r="8" spans="2:21" x14ac:dyDescent="0.25">
      <c r="B8" s="20"/>
      <c r="C8" s="21" t="s">
        <v>7</v>
      </c>
      <c r="D8" s="22"/>
      <c r="E8" s="23"/>
      <c r="F8" s="24" t="s">
        <v>23</v>
      </c>
      <c r="G8" s="25"/>
      <c r="H8" s="26"/>
      <c r="I8" s="21" t="s">
        <v>11</v>
      </c>
      <c r="J8" s="22"/>
      <c r="K8" s="23"/>
      <c r="L8" s="27" t="s">
        <v>25</v>
      </c>
      <c r="M8" s="28" t="s">
        <v>21</v>
      </c>
      <c r="N8" s="29"/>
      <c r="O8" s="30"/>
      <c r="P8" s="25" t="s">
        <v>26</v>
      </c>
      <c r="Q8" s="25"/>
      <c r="R8" s="26"/>
      <c r="S8" s="31" t="s">
        <v>28</v>
      </c>
      <c r="T8" s="29"/>
      <c r="U8" s="30"/>
    </row>
    <row r="9" spans="2:21" s="40" customFormat="1" x14ac:dyDescent="0.25">
      <c r="B9" s="32" t="s">
        <v>0</v>
      </c>
      <c r="C9" s="33" t="s">
        <v>16</v>
      </c>
      <c r="D9" s="34" t="s">
        <v>20</v>
      </c>
      <c r="E9" s="35" t="s">
        <v>6</v>
      </c>
      <c r="F9" s="36" t="s">
        <v>8</v>
      </c>
      <c r="G9" s="37" t="s">
        <v>9</v>
      </c>
      <c r="H9" s="38" t="s">
        <v>10</v>
      </c>
      <c r="I9" s="33" t="s">
        <v>15</v>
      </c>
      <c r="J9" s="34" t="s">
        <v>20</v>
      </c>
      <c r="K9" s="35" t="s">
        <v>6</v>
      </c>
      <c r="L9" s="39" t="s">
        <v>9</v>
      </c>
      <c r="M9" s="33" t="s">
        <v>15</v>
      </c>
      <c r="N9" s="34" t="s">
        <v>20</v>
      </c>
      <c r="O9" s="35" t="s">
        <v>6</v>
      </c>
      <c r="P9" s="37" t="s">
        <v>8</v>
      </c>
      <c r="Q9" s="37" t="s">
        <v>27</v>
      </c>
      <c r="R9" s="38" t="s">
        <v>10</v>
      </c>
      <c r="S9" s="33" t="s">
        <v>15</v>
      </c>
      <c r="T9" s="34" t="s">
        <v>20</v>
      </c>
      <c r="U9" s="35" t="s">
        <v>6</v>
      </c>
    </row>
    <row r="10" spans="2:21" s="40" customFormat="1" ht="6" customHeight="1" x14ac:dyDescent="0.25">
      <c r="B10" s="41"/>
      <c r="C10" s="42"/>
      <c r="D10" s="43"/>
      <c r="E10" s="44"/>
      <c r="F10" s="45"/>
      <c r="G10" s="42"/>
      <c r="H10" s="46"/>
      <c r="I10" s="42"/>
      <c r="J10" s="43"/>
      <c r="K10" s="44"/>
      <c r="L10" s="47"/>
      <c r="M10" s="42"/>
      <c r="N10" s="43"/>
      <c r="O10" s="44"/>
      <c r="P10" s="43"/>
      <c r="Q10" s="42"/>
      <c r="R10" s="46"/>
      <c r="S10" s="42"/>
      <c r="T10" s="43"/>
      <c r="U10" s="44"/>
    </row>
    <row r="11" spans="2:21" s="40" customFormat="1" ht="15.95" customHeight="1" x14ac:dyDescent="0.25">
      <c r="B11" s="41" t="s">
        <v>1</v>
      </c>
      <c r="C11" s="48">
        <f>+SUM(C12:C13)</f>
        <v>10000</v>
      </c>
      <c r="D11" s="49">
        <f t="shared" ref="D11:H11" si="0">+SUM(D12:D13)</f>
        <v>1</v>
      </c>
      <c r="E11" s="50">
        <f t="shared" si="0"/>
        <v>1</v>
      </c>
      <c r="F11" s="51">
        <f>+SUM(F12:F13)</f>
        <v>0</v>
      </c>
      <c r="G11" s="48">
        <f>+SUM(G12:G13)</f>
        <v>0</v>
      </c>
      <c r="H11" s="52">
        <f t="shared" si="0"/>
        <v>0</v>
      </c>
      <c r="I11" s="48">
        <f t="shared" ref="I11:K11" si="1">+SUM(I12:I13)</f>
        <v>10000</v>
      </c>
      <c r="J11" s="49">
        <f t="shared" si="1"/>
        <v>0.75000018750004693</v>
      </c>
      <c r="K11" s="50">
        <f t="shared" si="1"/>
        <v>0.75000018750004693</v>
      </c>
      <c r="L11" s="53"/>
      <c r="M11" s="48">
        <f>+SUM(M12:M13)</f>
        <v>10000</v>
      </c>
      <c r="N11" s="49">
        <f>+SUM(N12:N13)</f>
        <v>0.75000018750004693</v>
      </c>
      <c r="O11" s="50">
        <f>+SUM(O12:O13)</f>
        <v>0.6975003679314441</v>
      </c>
      <c r="P11" s="49"/>
      <c r="Q11" s="48"/>
      <c r="R11" s="52"/>
      <c r="S11" s="48">
        <f>+SUM(S12:S13)</f>
        <v>10000</v>
      </c>
      <c r="T11" s="49">
        <f>+SUM(T12:T13)</f>
        <v>0.6975003679314441</v>
      </c>
      <c r="U11" s="50">
        <f>+SUM(U12:U13)</f>
        <v>0.6975003679314441</v>
      </c>
    </row>
    <row r="12" spans="2:21" x14ac:dyDescent="0.25">
      <c r="B12" s="54" t="s">
        <v>2</v>
      </c>
      <c r="C12" s="79">
        <v>5000</v>
      </c>
      <c r="D12" s="55">
        <f>+C12/C$19</f>
        <v>0.5</v>
      </c>
      <c r="E12" s="56">
        <f>+C12/C$21</f>
        <v>0.5</v>
      </c>
      <c r="F12" s="81">
        <v>0</v>
      </c>
      <c r="G12" s="16">
        <f t="shared" ref="G12:G13" si="2">+ROUND(J$3*F12/G$3,2)</f>
        <v>0</v>
      </c>
      <c r="H12" s="57">
        <f t="shared" ref="H12:H13" si="3">+F12-G12</f>
        <v>0</v>
      </c>
      <c r="I12" s="16">
        <f>+C12+G12</f>
        <v>5000</v>
      </c>
      <c r="J12" s="55">
        <f>+I12/I$19</f>
        <v>0.37500009375002347</v>
      </c>
      <c r="K12" s="56">
        <f>+I12/I$21</f>
        <v>0.37500009375002347</v>
      </c>
      <c r="L12" s="53"/>
      <c r="M12" s="16">
        <f>+I12+L12</f>
        <v>5000</v>
      </c>
      <c r="N12" s="55">
        <f>+M12/M$19</f>
        <v>0.37500009375002347</v>
      </c>
      <c r="O12" s="56">
        <f>+M12/M$21</f>
        <v>0.34875018396572205</v>
      </c>
      <c r="P12" s="55"/>
      <c r="Q12" s="16"/>
      <c r="R12" s="58"/>
      <c r="S12" s="16">
        <f>+M12+Q12</f>
        <v>5000</v>
      </c>
      <c r="T12" s="55">
        <f>+S12/S$19</f>
        <v>0.34875018396572205</v>
      </c>
      <c r="U12" s="56">
        <f>+S12/S$21</f>
        <v>0.34875018396572205</v>
      </c>
    </row>
    <row r="13" spans="2:21" ht="13.5" customHeight="1" x14ac:dyDescent="0.25">
      <c r="B13" s="54" t="s">
        <v>3</v>
      </c>
      <c r="C13" s="79">
        <v>5000</v>
      </c>
      <c r="D13" s="55">
        <f>+C13/C$19</f>
        <v>0.5</v>
      </c>
      <c r="E13" s="56">
        <f>+C13/C$21</f>
        <v>0.5</v>
      </c>
      <c r="F13" s="81">
        <v>0</v>
      </c>
      <c r="G13" s="16">
        <f t="shared" si="2"/>
        <v>0</v>
      </c>
      <c r="H13" s="57">
        <f t="shared" si="3"/>
        <v>0</v>
      </c>
      <c r="I13" s="16">
        <f>+C13+G13</f>
        <v>5000</v>
      </c>
      <c r="J13" s="55">
        <f>+I13/I$19</f>
        <v>0.37500009375002347</v>
      </c>
      <c r="K13" s="56">
        <f>+I13/I$21</f>
        <v>0.37500009375002347</v>
      </c>
      <c r="L13" s="53"/>
      <c r="M13" s="16">
        <f>+I13+L13</f>
        <v>5000</v>
      </c>
      <c r="N13" s="55">
        <f>+M13/M$19</f>
        <v>0.37500009375002347</v>
      </c>
      <c r="O13" s="56">
        <f>+M13/M$21</f>
        <v>0.34875018396572205</v>
      </c>
      <c r="P13" s="55"/>
      <c r="Q13" s="48"/>
      <c r="R13" s="52"/>
      <c r="S13" s="16">
        <f>+M13+Q13</f>
        <v>5000</v>
      </c>
      <c r="T13" s="55">
        <f>+S13/S$19</f>
        <v>0.34875018396572205</v>
      </c>
      <c r="U13" s="56">
        <f>+S13/S$21</f>
        <v>0.34875018396572205</v>
      </c>
    </row>
    <row r="14" spans="2:21" ht="13.5" customHeight="1" x14ac:dyDescent="0.25">
      <c r="B14" s="59"/>
      <c r="C14" s="16"/>
      <c r="E14" s="60"/>
      <c r="F14" s="61"/>
      <c r="G14" s="16"/>
      <c r="H14" s="57"/>
      <c r="I14" s="16"/>
      <c r="K14" s="60"/>
      <c r="L14" s="53"/>
      <c r="M14" s="16"/>
      <c r="N14" s="3"/>
      <c r="O14" s="60"/>
      <c r="P14" s="3"/>
      <c r="Q14" s="48"/>
      <c r="R14" s="52"/>
      <c r="S14" s="16"/>
      <c r="T14" s="3"/>
      <c r="U14" s="60"/>
    </row>
    <row r="15" spans="2:21" s="40" customFormat="1" ht="13.5" customHeight="1" x14ac:dyDescent="0.25">
      <c r="B15" s="41" t="s">
        <v>22</v>
      </c>
      <c r="C15" s="80">
        <v>0</v>
      </c>
      <c r="D15" s="55">
        <f>+C15/C$19</f>
        <v>0</v>
      </c>
      <c r="E15" s="56">
        <f>+C15/C$21</f>
        <v>0</v>
      </c>
      <c r="F15" s="51">
        <f>+G3-F12-F13</f>
        <v>5000000</v>
      </c>
      <c r="G15" s="48">
        <f>+ROUND(J$3*F15/G$3,2)</f>
        <v>3333.33</v>
      </c>
      <c r="H15" s="52">
        <f>+F15-G15</f>
        <v>4996666.67</v>
      </c>
      <c r="I15" s="48">
        <f>+G15</f>
        <v>3333.33</v>
      </c>
      <c r="J15" s="55">
        <f>+I15/I$19</f>
        <v>0.24999981249995312</v>
      </c>
      <c r="K15" s="56">
        <f>+I15/I$21</f>
        <v>0.24999981249995312</v>
      </c>
      <c r="L15" s="62"/>
      <c r="M15" s="48">
        <f>+I15</f>
        <v>3333.33</v>
      </c>
      <c r="N15" s="55">
        <f>+M15/M$19</f>
        <v>0.24999981249995312</v>
      </c>
      <c r="O15" s="56">
        <f>+M15/M$21</f>
        <v>0.23249989014369205</v>
      </c>
      <c r="P15" s="55"/>
      <c r="Q15" s="48"/>
      <c r="R15" s="52"/>
      <c r="S15" s="48">
        <f>+M15</f>
        <v>3333.33</v>
      </c>
      <c r="T15" s="55">
        <f>+S15/S$19</f>
        <v>0.23249989014369205</v>
      </c>
      <c r="U15" s="56">
        <f>+S15/S$21</f>
        <v>0.23249989014369205</v>
      </c>
    </row>
    <row r="16" spans="2:21" ht="13.5" customHeight="1" x14ac:dyDescent="0.25">
      <c r="B16" s="59"/>
      <c r="C16" s="16"/>
      <c r="E16" s="60"/>
      <c r="F16" s="61"/>
      <c r="G16" s="16"/>
      <c r="H16" s="57"/>
      <c r="I16" s="16"/>
      <c r="K16" s="60"/>
      <c r="L16" s="53"/>
      <c r="M16" s="16"/>
      <c r="N16" s="3"/>
      <c r="O16" s="60"/>
      <c r="P16" s="3"/>
      <c r="Q16" s="48"/>
      <c r="R16" s="52"/>
      <c r="S16" s="16"/>
      <c r="T16" s="3"/>
      <c r="U16" s="60"/>
    </row>
    <row r="17" spans="2:21" ht="13.5" customHeight="1" x14ac:dyDescent="0.25">
      <c r="B17" s="63" t="s">
        <v>17</v>
      </c>
      <c r="C17" s="64"/>
      <c r="D17" s="65"/>
      <c r="E17" s="66">
        <f>+C17/C$21</f>
        <v>0</v>
      </c>
      <c r="F17" s="67"/>
      <c r="G17" s="64"/>
      <c r="H17" s="68"/>
      <c r="I17" s="64"/>
      <c r="J17" s="65"/>
      <c r="K17" s="66">
        <f>+I17/I$21</f>
        <v>0</v>
      </c>
      <c r="L17" s="69">
        <f>+M4</f>
        <v>1003.58</v>
      </c>
      <c r="M17" s="64">
        <f>+I17+L17</f>
        <v>1003.58</v>
      </c>
      <c r="N17" s="65"/>
      <c r="O17" s="66">
        <f>+M17/M$21</f>
        <v>6.999974192486387E-2</v>
      </c>
      <c r="P17" s="64">
        <f>+M6*O17</f>
        <v>1119995.870797822</v>
      </c>
      <c r="Q17" s="64">
        <f>+M17</f>
        <v>1003.58</v>
      </c>
      <c r="R17" s="83">
        <f>+P17-Q17</f>
        <v>1118992.2907978219</v>
      </c>
      <c r="S17" s="64">
        <f>+M17</f>
        <v>1003.58</v>
      </c>
      <c r="T17" s="65">
        <f>+S17/S$19</f>
        <v>6.999974192486387E-2</v>
      </c>
      <c r="U17" s="66">
        <f>+S17/S$21</f>
        <v>6.999974192486387E-2</v>
      </c>
    </row>
    <row r="18" spans="2:21" ht="13.5" customHeight="1" x14ac:dyDescent="0.25">
      <c r="B18" s="59"/>
      <c r="C18" s="16"/>
      <c r="E18" s="60"/>
      <c r="F18" s="61"/>
      <c r="G18" s="16"/>
      <c r="H18" s="57"/>
      <c r="I18" s="16"/>
      <c r="K18" s="60"/>
      <c r="L18" s="53"/>
      <c r="M18" s="16"/>
      <c r="N18" s="3"/>
      <c r="O18" s="60"/>
      <c r="P18" s="3"/>
      <c r="Q18" s="16"/>
      <c r="R18" s="57"/>
      <c r="S18" s="16"/>
      <c r="T18" s="3"/>
      <c r="U18" s="60"/>
    </row>
    <row r="19" spans="2:21" s="40" customFormat="1" ht="13.5" customHeight="1" x14ac:dyDescent="0.25">
      <c r="B19" s="70" t="s">
        <v>5</v>
      </c>
      <c r="C19" s="71">
        <f t="shared" ref="C19:K19" si="4">+C11+C15</f>
        <v>10000</v>
      </c>
      <c r="D19" s="72">
        <f t="shared" si="4"/>
        <v>1</v>
      </c>
      <c r="E19" s="73">
        <f t="shared" si="4"/>
        <v>1</v>
      </c>
      <c r="F19" s="74">
        <f t="shared" si="4"/>
        <v>5000000</v>
      </c>
      <c r="G19" s="71">
        <f t="shared" si="4"/>
        <v>3333.33</v>
      </c>
      <c r="H19" s="75">
        <f t="shared" si="4"/>
        <v>4996666.67</v>
      </c>
      <c r="I19" s="71">
        <f t="shared" si="4"/>
        <v>13333.33</v>
      </c>
      <c r="J19" s="72">
        <f t="shared" si="4"/>
        <v>1</v>
      </c>
      <c r="K19" s="73">
        <f t="shared" si="4"/>
        <v>1</v>
      </c>
      <c r="L19" s="76"/>
      <c r="M19" s="71">
        <f>+M11+M15</f>
        <v>13333.33</v>
      </c>
      <c r="N19" s="72">
        <f>+N11+N15</f>
        <v>1</v>
      </c>
      <c r="O19" s="73">
        <f>+O11+O15</f>
        <v>0.93000025807513609</v>
      </c>
      <c r="P19" s="71">
        <f>+P17</f>
        <v>1119995.870797822</v>
      </c>
      <c r="Q19" s="71">
        <f>+Q17</f>
        <v>1003.58</v>
      </c>
      <c r="R19" s="84">
        <f>+R17</f>
        <v>1118992.2907978219</v>
      </c>
      <c r="S19" s="71">
        <f>+S11+S15+S17</f>
        <v>14336.91</v>
      </c>
      <c r="T19" s="72">
        <f>+T11+T15+T17</f>
        <v>1</v>
      </c>
      <c r="U19" s="73">
        <f>+U11+U15+U17</f>
        <v>1</v>
      </c>
    </row>
    <row r="20" spans="2:21" ht="13.5" customHeight="1" x14ac:dyDescent="0.25">
      <c r="B20" s="59"/>
      <c r="C20" s="16"/>
      <c r="E20" s="60"/>
      <c r="F20" s="61"/>
      <c r="G20" s="16"/>
      <c r="H20" s="57"/>
      <c r="I20" s="16"/>
      <c r="K20" s="60"/>
      <c r="L20" s="53"/>
      <c r="M20" s="16"/>
      <c r="N20" s="3"/>
      <c r="O20" s="60"/>
      <c r="P20" s="3"/>
      <c r="Q20" s="16"/>
      <c r="R20" s="57"/>
      <c r="S20" s="16"/>
      <c r="T20" s="3"/>
      <c r="U20" s="60"/>
    </row>
    <row r="21" spans="2:21" s="40" customFormat="1" ht="13.5" customHeight="1" x14ac:dyDescent="0.25">
      <c r="B21" s="70" t="s">
        <v>4</v>
      </c>
      <c r="C21" s="71">
        <f>+C19</f>
        <v>10000</v>
      </c>
      <c r="D21" s="77"/>
      <c r="E21" s="73">
        <f>+E19</f>
        <v>1</v>
      </c>
      <c r="F21" s="74"/>
      <c r="G21" s="71"/>
      <c r="H21" s="75"/>
      <c r="I21" s="71">
        <f>+I19</f>
        <v>13333.33</v>
      </c>
      <c r="J21" s="77"/>
      <c r="K21" s="73">
        <f>+K19</f>
        <v>1</v>
      </c>
      <c r="L21" s="76"/>
      <c r="M21" s="71">
        <f>+M19+M17</f>
        <v>14336.91</v>
      </c>
      <c r="N21" s="77"/>
      <c r="O21" s="73">
        <f>+O19+O17</f>
        <v>1</v>
      </c>
      <c r="P21" s="72"/>
      <c r="Q21" s="71"/>
      <c r="R21" s="75"/>
      <c r="S21" s="71">
        <f>+S19</f>
        <v>14336.91</v>
      </c>
      <c r="T21" s="77"/>
      <c r="U21" s="73">
        <f>+U19</f>
        <v>1</v>
      </c>
    </row>
  </sheetData>
  <sheetProtection algorithmName="SHA-512" hashValue="meTNFpfQJosNYBaqtXGwgeSWmnHDWRltbEvJrWTr5nCfCQa9mzMy7t7VR7HulJE4MjY9V44Erxz7711ZSO7Z9Q==" saltValue="z5Mv+wV3crdUDwaeA1TMyQ==" spinCount="100000" sheet="1" objects="1" scenarios="1" selectLockedCell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7828116084E143B9B26C80614FE954" ma:contentTypeVersion="18" ma:contentTypeDescription="Creare un nuovo documento." ma:contentTypeScope="" ma:versionID="6be1bd6a8d652b2e90dc4c38122506aa">
  <xsd:schema xmlns:xsd="http://www.w3.org/2001/XMLSchema" xmlns:xs="http://www.w3.org/2001/XMLSchema" xmlns:p="http://schemas.microsoft.com/office/2006/metadata/properties" xmlns:ns2="ce3829d5-7a60-4437-90d2-7f9219740e88" xmlns:ns3="d8b5f5b2-2dd9-42f0-be22-f21fd99d3cbf" targetNamespace="http://schemas.microsoft.com/office/2006/metadata/properties" ma:root="true" ma:fieldsID="38d0b17cea55c217f0a8d56ee48cc431" ns2:_="" ns3:_="">
    <xsd:import namespace="ce3829d5-7a60-4437-90d2-7f9219740e88"/>
    <xsd:import namespace="d8b5f5b2-2dd9-42f0-be22-f21fd99d3c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3829d5-7a60-4437-90d2-7f921974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099f0e4e-bbcb-478f-9a1d-8408d48b30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b5f5b2-2dd9-42f0-be22-f21fd99d3cbf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cd1a3663-3c55-4c39-9639-b4bdbd186c7b}" ma:internalName="TaxCatchAll" ma:showField="CatchAllData" ma:web="d8b5f5b2-2dd9-42f0-be22-f21fd99d3c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b5f5b2-2dd9-42f0-be22-f21fd99d3cbf" xsi:nil="true"/>
    <lcf76f155ced4ddcb4097134ff3c332f xmlns="ce3829d5-7a60-4437-90d2-7f9219740e8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8EE4A9-FBDC-4BF3-995D-628F8062C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3829d5-7a60-4437-90d2-7f9219740e88"/>
    <ds:schemaRef ds:uri="d8b5f5b2-2dd9-42f0-be22-f21fd99d3c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0CE68A-9533-45B1-959C-95E446A10B08}">
  <ds:schemaRefs>
    <ds:schemaRef ds:uri="http://schemas.microsoft.com/office/2006/metadata/properties"/>
    <ds:schemaRef ds:uri="http://schemas.microsoft.com/office/infopath/2007/PartnerControls"/>
    <ds:schemaRef ds:uri="d8b5f5b2-2dd9-42f0-be22-f21fd99d3cbf"/>
    <ds:schemaRef ds:uri="ce3829d5-7a60-4437-90d2-7f9219740e88"/>
  </ds:schemaRefs>
</ds:datastoreItem>
</file>

<file path=customXml/itemProps3.xml><?xml version="1.0" encoding="utf-8"?>
<ds:datastoreItem xmlns:ds="http://schemas.openxmlformats.org/officeDocument/2006/customXml" ds:itemID="{9627C208-3E9A-4CC4-BBA9-440F810266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ESOP_Nominale</vt:lpstr>
      <vt:lpstr>ESOP_Sovrapprezzo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Parente</dc:creator>
  <cp:lastModifiedBy>Nicolò Jesi Ferrari</cp:lastModifiedBy>
  <dcterms:created xsi:type="dcterms:W3CDTF">2024-04-09T21:10:11Z</dcterms:created>
  <dcterms:modified xsi:type="dcterms:W3CDTF">2025-06-20T08:24:23Z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0x0101005A7828116084E143B9B26C80614FE954</vt:lpwstr>
  </property>
  <property fmtid="{D5CDD505-2E9C-101B-9397-08002B2CF9AE}" pid="3" name="MediaServiceImageTags">
    <vt:lpwstr/>
  </property>
</Properties>
</file>